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835" activeTab="0"/>
  </bookViews>
  <sheets>
    <sheet name="przepływy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<sst xmlns="http://schemas.openxmlformats.org/spreadsheetml/2006/main" count="70" uniqueCount="68">
  <si>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ZESTAWIENIE PRZEPŁYWÓW PIENIĘŻNYCH</t>
  </si>
  <si>
    <t>Lp.</t>
  </si>
  <si>
    <t>Wyszczególnienie</t>
  </si>
  <si>
    <t>Wykonanie
w 2007 r.
(po korektach)</t>
  </si>
  <si>
    <t>Plan na 2008 r.
według stanu 
na 31.03.2008 r.</t>
  </si>
  <si>
    <t>Prognoza na lata</t>
  </si>
  <si>
    <t>1.</t>
  </si>
  <si>
    <t>Dochody bieżące z tego:</t>
  </si>
  <si>
    <t>1.1.</t>
  </si>
  <si>
    <t xml:space="preserve">Dochody własne razem z udziałami w podatkach stanowiących dochód budżetu państwa </t>
  </si>
  <si>
    <t>1.2.</t>
  </si>
  <si>
    <t>Subwencja z budżetu państwa</t>
  </si>
  <si>
    <t>1.3.</t>
  </si>
  <si>
    <t>Dotacje celowe na zadania bieżące</t>
  </si>
  <si>
    <t>1.4.</t>
  </si>
  <si>
    <t>Środki unijne i inne zagr. na zadania bież.</t>
  </si>
  <si>
    <t>2.</t>
  </si>
  <si>
    <t>Dochody majątkowe z tego:</t>
  </si>
  <si>
    <t>2.1.</t>
  </si>
  <si>
    <t>Dochody z majątku</t>
  </si>
  <si>
    <t>2.2.</t>
  </si>
  <si>
    <t>Dotacje na inwestycje</t>
  </si>
  <si>
    <t>2.3.</t>
  </si>
  <si>
    <t>Środki unijne i inne zagraniczne na inwest.</t>
  </si>
  <si>
    <t>x</t>
  </si>
  <si>
    <t>I.</t>
  </si>
  <si>
    <t>Ogółem dochody (1+2)</t>
  </si>
  <si>
    <t>4.</t>
  </si>
  <si>
    <t>Wydatki bieżące</t>
  </si>
  <si>
    <r>
      <t>w tym: 
- potencjalne spłaty poręczeń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wraz z odsetkami</t>
    </r>
  </si>
  <si>
    <t>- odsetki od kredytów i pożyczek</t>
  </si>
  <si>
    <t>- odsetki i dyskonto od wyemitowanych papierów 
  wartościowych</t>
  </si>
  <si>
    <t>5.</t>
  </si>
  <si>
    <t xml:space="preserve">Wydatki majątkowe </t>
  </si>
  <si>
    <t>II.</t>
  </si>
  <si>
    <t>Ogółem wydatki (4+5)</t>
  </si>
  <si>
    <t>Wynik finansowy (I-II)</t>
  </si>
  <si>
    <t>III.</t>
  </si>
  <si>
    <t xml:space="preserve">Przychody ogółem </t>
  </si>
  <si>
    <t>w tym:
- ze sprzedaży papierów wartościowych</t>
  </si>
  <si>
    <t>- kredytów</t>
  </si>
  <si>
    <t>- pożyczek</t>
  </si>
  <si>
    <t>- prywatyzacji majątku</t>
  </si>
  <si>
    <t>- nadwyżki budżetu</t>
  </si>
  <si>
    <t>- wolnych środków</t>
  </si>
  <si>
    <t>- spłata pożyczek udzielonych</t>
  </si>
  <si>
    <t>IV.</t>
  </si>
  <si>
    <t>Rozchody ogółem</t>
  </si>
  <si>
    <t>w tym:  
- raty spłat kredytów i pożyczek</t>
  </si>
  <si>
    <t>- wykup wyemitowanych papierów wartościowych</t>
  </si>
  <si>
    <t>V.</t>
  </si>
  <si>
    <t>Zadłużenie ogółem na koniec roku</t>
  </si>
  <si>
    <t>VI.</t>
  </si>
  <si>
    <t>Umorzenia pożyczek</t>
  </si>
  <si>
    <t>VII.</t>
  </si>
  <si>
    <t>Zobowiązania wymagalne</t>
  </si>
  <si>
    <t>VIII.</t>
  </si>
  <si>
    <t>Wyłączenia na podstawie art. 169 ust. 3 ustawy o finansach publicznych (raty i odsetki)</t>
  </si>
  <si>
    <t>IX.</t>
  </si>
  <si>
    <t>Wskaźnik w % liczony wg art. 169 ustawy 
o finansach publicznych (bez wyłączeń)</t>
  </si>
  <si>
    <t>X.</t>
  </si>
  <si>
    <t>Wskaźnik w % liczony wg art. 169 ustawy 
o finansach publicznych (z wyłączeniami)</t>
  </si>
  <si>
    <t>XI.</t>
  </si>
  <si>
    <t>Wyłączenia na podstawie art. 170 ust. 3 ustawy o finansach publicznych</t>
  </si>
  <si>
    <t>XII.</t>
  </si>
  <si>
    <t>Wskaźnik w % liczony wg art. 170 ustawy 
o finansach publicznych (bez wyłączeń)</t>
  </si>
  <si>
    <t>XIII.</t>
  </si>
  <si>
    <t>Wskaźnik w % liczony wg art. 170 ustawy 
o finansach publicznych (z wyłączeniami)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</si>
</sst>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 applyProtection="1">
      <alignment vertical="center" wrapText="1"/>
      <protection locked="0"/>
    </xf>
    <xf numFmtId="3" fontId="5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 applyProtection="1">
      <alignment vertical="center" wrapText="1"/>
      <protection locked="0"/>
    </xf>
    <xf numFmtId="3" fontId="6" fillId="0" borderId="11" xfId="0" applyNumberFormat="1" applyFont="1" applyFill="1" applyBorder="1" applyAlignment="1" applyProtection="1">
      <alignment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 wrapText="1"/>
      <protection locked="0"/>
    </xf>
    <xf numFmtId="49" fontId="8" fillId="0" borderId="19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vertical="center" wrapText="1"/>
    </xf>
    <xf numFmtId="4" fontId="8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 wrapText="1"/>
    </xf>
    <xf numFmtId="4" fontId="8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3" fillId="0" borderId="2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 locked="0"/>
    </xf>
    <xf numFmtId="3" fontId="3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.7109375" style="95" bestFit="1" customWidth="1"/>
    <col min="2" max="2" width="40.7109375" style="98" customWidth="1"/>
    <col min="3" max="3" width="12.8515625" style="99" bestFit="1" customWidth="1"/>
    <col min="4" max="4" width="14.00390625" style="2" bestFit="1" customWidth="1"/>
    <col min="5" max="5" width="12.7109375" style="2" customWidth="1"/>
    <col min="6" max="8" width="10.421875" style="2" bestFit="1" customWidth="1"/>
    <col min="9" max="10" width="10.8515625" style="2" bestFit="1" customWidth="1"/>
    <col min="11" max="13" width="10.421875" style="2" bestFit="1" customWidth="1"/>
    <col min="14" max="16384" width="9.14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7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9"/>
    </row>
    <row r="3" spans="1:13" ht="18.75" customHeight="1">
      <c r="A3" s="3"/>
      <c r="B3" s="10"/>
      <c r="C3" s="11"/>
      <c r="D3" s="12"/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3">
        <v>2015</v>
      </c>
      <c r="L3" s="13">
        <v>2016</v>
      </c>
      <c r="M3" s="13">
        <v>2017</v>
      </c>
    </row>
    <row r="4" spans="1:13" s="18" customFormat="1" ht="15" customHeight="1">
      <c r="A4" s="14" t="s">
        <v>6</v>
      </c>
      <c r="B4" s="15" t="s">
        <v>7</v>
      </c>
      <c r="C4" s="16">
        <f>C5+C6+C7+C8</f>
        <v>69475662.77</v>
      </c>
      <c r="D4" s="17">
        <f aca="true" t="shared" si="0" ref="D4:M4">D5+D6+D7+D8</f>
        <v>71875771</v>
      </c>
      <c r="E4" s="17">
        <f t="shared" si="0"/>
        <v>73985585</v>
      </c>
      <c r="F4" s="17">
        <f t="shared" si="0"/>
        <v>76199283</v>
      </c>
      <c r="G4" s="17">
        <f t="shared" si="0"/>
        <v>78479274</v>
      </c>
      <c r="H4" s="17">
        <f t="shared" si="0"/>
        <v>80827545</v>
      </c>
      <c r="I4" s="17">
        <f t="shared" si="0"/>
        <v>83246143</v>
      </c>
      <c r="J4" s="17">
        <f t="shared" si="0"/>
        <v>85737173</v>
      </c>
      <c r="K4" s="17">
        <f t="shared" si="0"/>
        <v>88302808</v>
      </c>
      <c r="L4" s="17">
        <f t="shared" si="0"/>
        <v>90945281</v>
      </c>
      <c r="M4" s="17">
        <f t="shared" si="0"/>
        <v>93666897</v>
      </c>
    </row>
    <row r="5" spans="1:13" s="23" customFormat="1" ht="25.5" customHeight="1">
      <c r="A5" s="19" t="s">
        <v>8</v>
      </c>
      <c r="B5" s="20" t="s">
        <v>9</v>
      </c>
      <c r="C5" s="21">
        <f>46102447.68-2834277.71-362550-35.82-6.4</f>
        <v>42905577.75</v>
      </c>
      <c r="D5" s="22">
        <v>44134229</v>
      </c>
      <c r="E5" s="22">
        <v>44805151</v>
      </c>
      <c r="F5" s="22">
        <v>46642605</v>
      </c>
      <c r="G5" s="22">
        <v>48538827</v>
      </c>
      <c r="H5" s="22">
        <v>50495654</v>
      </c>
      <c r="I5" s="22">
        <v>52514979</v>
      </c>
      <c r="J5" s="22">
        <v>54598751</v>
      </c>
      <c r="K5" s="22">
        <v>56748982</v>
      </c>
      <c r="L5" s="22">
        <v>58967744</v>
      </c>
      <c r="M5" s="22">
        <v>61257174</v>
      </c>
    </row>
    <row r="6" spans="1:13" s="23" customFormat="1" ht="15" customHeight="1">
      <c r="A6" s="19" t="s">
        <v>10</v>
      </c>
      <c r="B6" s="24" t="s">
        <v>11</v>
      </c>
      <c r="C6" s="21">
        <v>16595257</v>
      </c>
      <c r="D6" s="22">
        <v>18443322</v>
      </c>
      <c r="E6" s="22">
        <v>18812188</v>
      </c>
      <c r="F6" s="22">
        <v>19188432</v>
      </c>
      <c r="G6" s="22">
        <v>19572201</v>
      </c>
      <c r="H6" s="22">
        <v>19963645</v>
      </c>
      <c r="I6" s="22">
        <v>20362918</v>
      </c>
      <c r="J6" s="22">
        <v>20770176</v>
      </c>
      <c r="K6" s="22">
        <v>21185580</v>
      </c>
      <c r="L6" s="22">
        <v>21609291</v>
      </c>
      <c r="M6" s="22">
        <v>22041477</v>
      </c>
    </row>
    <row r="7" spans="1:13" s="23" customFormat="1" ht="15.75" customHeight="1">
      <c r="A7" s="19" t="s">
        <v>12</v>
      </c>
      <c r="B7" s="24" t="s">
        <v>13</v>
      </c>
      <c r="C7" s="21">
        <f>7682916.8+2096368.04+1000+3996.28+69195.02+15405</f>
        <v>9868881.139999999</v>
      </c>
      <c r="D7" s="22">
        <v>9298220</v>
      </c>
      <c r="E7" s="22">
        <v>10368246</v>
      </c>
      <c r="F7" s="22">
        <v>10368246</v>
      </c>
      <c r="G7" s="22">
        <v>10368246</v>
      </c>
      <c r="H7" s="22">
        <v>10368246</v>
      </c>
      <c r="I7" s="22">
        <v>10368246</v>
      </c>
      <c r="J7" s="22">
        <v>10368246</v>
      </c>
      <c r="K7" s="22">
        <v>10368246</v>
      </c>
      <c r="L7" s="22">
        <v>10368246</v>
      </c>
      <c r="M7" s="22">
        <v>10368246</v>
      </c>
    </row>
    <row r="8" spans="1:13" s="23" customFormat="1" ht="15.75" customHeight="1">
      <c r="A8" s="19" t="s">
        <v>14</v>
      </c>
      <c r="B8" s="25" t="s">
        <v>15</v>
      </c>
      <c r="C8" s="26">
        <f>59533.1+46413.78</f>
        <v>105946.88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</row>
    <row r="9" spans="1:13" s="23" customFormat="1" ht="13.5" customHeight="1">
      <c r="A9" s="19" t="s">
        <v>16</v>
      </c>
      <c r="B9" s="28" t="s">
        <v>17</v>
      </c>
      <c r="C9" s="29">
        <f aca="true" t="shared" si="1" ref="C9:J9">C10+C11+C12</f>
        <v>12617453.54</v>
      </c>
      <c r="D9" s="30">
        <f t="shared" si="1"/>
        <v>10010845.95</v>
      </c>
      <c r="E9" s="30">
        <f t="shared" si="1"/>
        <v>7387582</v>
      </c>
      <c r="F9" s="30">
        <f t="shared" si="1"/>
        <v>19281567</v>
      </c>
      <c r="G9" s="30">
        <f t="shared" si="1"/>
        <v>20987331</v>
      </c>
      <c r="H9" s="30">
        <f t="shared" si="1"/>
        <v>19127520</v>
      </c>
      <c r="I9" s="30">
        <f t="shared" si="1"/>
        <v>17905000</v>
      </c>
      <c r="J9" s="30">
        <f t="shared" si="1"/>
        <v>15100000</v>
      </c>
      <c r="K9" s="30">
        <f>K10+K11</f>
        <v>1500000</v>
      </c>
      <c r="L9" s="30">
        <f>L10+L11</f>
        <v>1500000</v>
      </c>
      <c r="M9" s="30">
        <f>M10+M11</f>
        <v>1500000</v>
      </c>
    </row>
    <row r="10" spans="1:13" s="23" customFormat="1" ht="15.75" customHeight="1">
      <c r="A10" s="19" t="s">
        <v>18</v>
      </c>
      <c r="B10" s="25" t="s">
        <v>19</v>
      </c>
      <c r="C10" s="26">
        <f>2834277.71</f>
        <v>2834277.71</v>
      </c>
      <c r="D10" s="27">
        <f>6595100+3000000</f>
        <v>9595100</v>
      </c>
      <c r="E10" s="27">
        <v>1500000</v>
      </c>
      <c r="F10" s="27">
        <v>1500000</v>
      </c>
      <c r="G10" s="27">
        <v>1500000</v>
      </c>
      <c r="H10" s="27">
        <v>1500000</v>
      </c>
      <c r="I10" s="27">
        <v>1500000</v>
      </c>
      <c r="J10" s="27">
        <v>1500000</v>
      </c>
      <c r="K10" s="27">
        <v>1500000</v>
      </c>
      <c r="L10" s="27">
        <v>1500000</v>
      </c>
      <c r="M10" s="27">
        <v>1500000</v>
      </c>
    </row>
    <row r="11" spans="1:13" s="32" customFormat="1" ht="12.75" customHeight="1">
      <c r="A11" s="31" t="s">
        <v>20</v>
      </c>
      <c r="B11" s="25" t="s">
        <v>21</v>
      </c>
      <c r="C11" s="26">
        <f>48798.93+5935825.29+362550</f>
        <v>6347174.22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s="23" customFormat="1" ht="13.5" customHeight="1" thickBot="1">
      <c r="A12" s="33" t="s">
        <v>22</v>
      </c>
      <c r="B12" s="34" t="s">
        <v>23</v>
      </c>
      <c r="C12" s="35">
        <f>3234742.46+201259.15</f>
        <v>3436001.61</v>
      </c>
      <c r="D12" s="36">
        <v>415745.95</v>
      </c>
      <c r="E12" s="37">
        <v>5887582</v>
      </c>
      <c r="F12" s="37">
        <v>17781567</v>
      </c>
      <c r="G12" s="37">
        <v>19487331</v>
      </c>
      <c r="H12" s="37">
        <v>17627520</v>
      </c>
      <c r="I12" s="38">
        <v>16405000</v>
      </c>
      <c r="J12" s="38">
        <v>13600000</v>
      </c>
      <c r="K12" s="39" t="s">
        <v>24</v>
      </c>
      <c r="L12" s="39" t="s">
        <v>24</v>
      </c>
      <c r="M12" s="39" t="s">
        <v>24</v>
      </c>
    </row>
    <row r="13" spans="1:13" s="23" customFormat="1" ht="18.75" customHeight="1" thickBot="1">
      <c r="A13" s="40" t="s">
        <v>25</v>
      </c>
      <c r="B13" s="41" t="s">
        <v>26</v>
      </c>
      <c r="C13" s="42">
        <f>C4+C9</f>
        <v>82093116.31</v>
      </c>
      <c r="D13" s="43">
        <f>D4+D9</f>
        <v>81886616.95</v>
      </c>
      <c r="E13" s="43">
        <f>E4+E9</f>
        <v>81373167</v>
      </c>
      <c r="F13" s="43">
        <f>F4+F9</f>
        <v>95480850</v>
      </c>
      <c r="G13" s="43">
        <f>G4+G9</f>
        <v>99466605</v>
      </c>
      <c r="H13" s="43">
        <f aca="true" t="shared" si="2" ref="H13:M13">H4+H9</f>
        <v>99955065</v>
      </c>
      <c r="I13" s="43">
        <f t="shared" si="2"/>
        <v>101151143</v>
      </c>
      <c r="J13" s="43">
        <f t="shared" si="2"/>
        <v>100837173</v>
      </c>
      <c r="K13" s="43">
        <f t="shared" si="2"/>
        <v>89802808</v>
      </c>
      <c r="L13" s="43">
        <f t="shared" si="2"/>
        <v>92445281</v>
      </c>
      <c r="M13" s="43">
        <f t="shared" si="2"/>
        <v>95166897</v>
      </c>
    </row>
    <row r="14" spans="1:13" s="23" customFormat="1" ht="13.5" customHeight="1">
      <c r="A14" s="44" t="s">
        <v>27</v>
      </c>
      <c r="B14" s="45" t="s">
        <v>28</v>
      </c>
      <c r="C14" s="46">
        <f>66406413.04-227.62</f>
        <v>66406185.42</v>
      </c>
      <c r="D14" s="47">
        <f>74704639.56+(108000-400)+575483+(-27050+22000)+19250+1565</f>
        <v>75403487.56</v>
      </c>
      <c r="E14" s="47">
        <f>65254127-565008</f>
        <v>64689119</v>
      </c>
      <c r="F14" s="47">
        <f>65120295+598732</f>
        <v>65719027</v>
      </c>
      <c r="G14" s="47">
        <f>69647011+610707</f>
        <v>70257718</v>
      </c>
      <c r="H14" s="47">
        <f>74405273+622921</f>
        <v>75028194</v>
      </c>
      <c r="I14" s="47">
        <f>77338480+635380</f>
        <v>77973860</v>
      </c>
      <c r="J14" s="47">
        <f>80436915+648087</f>
        <v>81085002</v>
      </c>
      <c r="K14" s="47">
        <f>86196855+661049</f>
        <v>86857904</v>
      </c>
      <c r="L14" s="47">
        <f>89295603+674270</f>
        <v>89969873</v>
      </c>
      <c r="M14" s="47">
        <f>93414949+687755</f>
        <v>94102704</v>
      </c>
    </row>
    <row r="15" spans="1:13" s="23" customFormat="1" ht="25.5" customHeight="1">
      <c r="A15" s="48"/>
      <c r="B15" s="49" t="s">
        <v>29</v>
      </c>
      <c r="C15" s="50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</row>
    <row r="16" spans="1:13" s="23" customFormat="1" ht="15" customHeight="1">
      <c r="A16" s="48"/>
      <c r="B16" s="52" t="s">
        <v>30</v>
      </c>
      <c r="C16" s="53">
        <v>837575.93</v>
      </c>
      <c r="D16" s="54">
        <v>1192740.1</v>
      </c>
      <c r="E16" s="54">
        <f>1160161+150000</f>
        <v>1310161</v>
      </c>
      <c r="F16" s="54">
        <v>1054629</v>
      </c>
      <c r="G16" s="54">
        <v>1030340</v>
      </c>
      <c r="H16" s="54">
        <v>850000</v>
      </c>
      <c r="I16" s="54">
        <v>700000</v>
      </c>
      <c r="J16" s="54">
        <v>450000</v>
      </c>
      <c r="K16" s="54">
        <v>350000</v>
      </c>
      <c r="L16" s="54">
        <v>200000</v>
      </c>
      <c r="M16" s="54">
        <v>100000</v>
      </c>
    </row>
    <row r="17" spans="1:13" s="23" customFormat="1" ht="21.75" customHeight="1">
      <c r="A17" s="55"/>
      <c r="B17" s="56" t="s">
        <v>31</v>
      </c>
      <c r="C17" s="57">
        <v>605190.38</v>
      </c>
      <c r="D17" s="58">
        <v>707259.9</v>
      </c>
      <c r="E17" s="58">
        <v>539839</v>
      </c>
      <c r="F17" s="58">
        <v>345371</v>
      </c>
      <c r="G17" s="58">
        <v>169660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</row>
    <row r="18" spans="1:14" s="23" customFormat="1" ht="15.75" customHeight="1" thickBot="1">
      <c r="A18" s="59" t="s">
        <v>32</v>
      </c>
      <c r="B18" s="60" t="s">
        <v>33</v>
      </c>
      <c r="C18" s="61">
        <v>18122832.84</v>
      </c>
      <c r="D18" s="62">
        <f>(9840766.5-526117.81+15900-22000)+(441600+5000+6150)+31956</f>
        <v>9793254.69</v>
      </c>
      <c r="E18" s="62">
        <f>10110619-200000+107812</f>
        <v>10018431</v>
      </c>
      <c r="F18" s="62">
        <f>23344718-250000+227525</f>
        <v>23322243</v>
      </c>
      <c r="G18" s="62">
        <f>22926951+28654</f>
        <v>22955605</v>
      </c>
      <c r="H18" s="62">
        <v>20740205</v>
      </c>
      <c r="I18" s="62">
        <v>19300000</v>
      </c>
      <c r="J18" s="62">
        <v>16000000</v>
      </c>
      <c r="K18" s="62">
        <v>0</v>
      </c>
      <c r="L18" s="62">
        <v>0</v>
      </c>
      <c r="M18" s="62">
        <v>0</v>
      </c>
      <c r="N18" s="63"/>
    </row>
    <row r="19" spans="1:14" s="23" customFormat="1" ht="16.5" customHeight="1" thickBot="1">
      <c r="A19" s="64" t="s">
        <v>34</v>
      </c>
      <c r="B19" s="65" t="s">
        <v>35</v>
      </c>
      <c r="C19" s="66">
        <f aca="true" t="shared" si="3" ref="C19:M19">C14+C18</f>
        <v>84529018.26</v>
      </c>
      <c r="D19" s="67">
        <f t="shared" si="3"/>
        <v>85196742.25</v>
      </c>
      <c r="E19" s="67">
        <f>E14+E18</f>
        <v>74707550</v>
      </c>
      <c r="F19" s="67">
        <f t="shared" si="3"/>
        <v>89041270</v>
      </c>
      <c r="G19" s="67">
        <f t="shared" si="3"/>
        <v>93213323</v>
      </c>
      <c r="H19" s="67">
        <f t="shared" si="3"/>
        <v>95768399</v>
      </c>
      <c r="I19" s="67">
        <f t="shared" si="3"/>
        <v>97273860</v>
      </c>
      <c r="J19" s="67">
        <f t="shared" si="3"/>
        <v>97085002</v>
      </c>
      <c r="K19" s="67">
        <f t="shared" si="3"/>
        <v>86857904</v>
      </c>
      <c r="L19" s="67">
        <f t="shared" si="3"/>
        <v>89969873</v>
      </c>
      <c r="M19" s="67">
        <f t="shared" si="3"/>
        <v>94102704</v>
      </c>
      <c r="N19" s="68"/>
    </row>
    <row r="20" spans="1:14" s="23" customFormat="1" ht="19.5" customHeight="1" thickBot="1">
      <c r="A20" s="44"/>
      <c r="B20" s="69" t="s">
        <v>36</v>
      </c>
      <c r="C20" s="70">
        <f>C13-C19</f>
        <v>-2435901.950000003</v>
      </c>
      <c r="D20" s="71">
        <f aca="true" t="shared" si="4" ref="D20:M20">D13-D19</f>
        <v>-3310125.299999997</v>
      </c>
      <c r="E20" s="71">
        <f t="shared" si="4"/>
        <v>6665617</v>
      </c>
      <c r="F20" s="71">
        <f t="shared" si="4"/>
        <v>6439580</v>
      </c>
      <c r="G20" s="71">
        <f t="shared" si="4"/>
        <v>6253282</v>
      </c>
      <c r="H20" s="71">
        <f t="shared" si="4"/>
        <v>4186666</v>
      </c>
      <c r="I20" s="71">
        <f t="shared" si="4"/>
        <v>3877283</v>
      </c>
      <c r="J20" s="71">
        <f t="shared" si="4"/>
        <v>3752171</v>
      </c>
      <c r="K20" s="71">
        <f t="shared" si="4"/>
        <v>2944904</v>
      </c>
      <c r="L20" s="71">
        <f t="shared" si="4"/>
        <v>2475408</v>
      </c>
      <c r="M20" s="71">
        <f t="shared" si="4"/>
        <v>1064193</v>
      </c>
      <c r="N20" s="68"/>
    </row>
    <row r="21" spans="1:14" s="23" customFormat="1" ht="17.25" customHeight="1" thickBot="1">
      <c r="A21" s="64" t="s">
        <v>37</v>
      </c>
      <c r="B21" s="65" t="s">
        <v>38</v>
      </c>
      <c r="C21" s="66">
        <f>C22+C23+C24+C25+C26+C27+C28</f>
        <v>12661584.16</v>
      </c>
      <c r="D21" s="67">
        <f aca="true" t="shared" si="5" ref="D21:M21">D22+D23+D24+D25+D26+D27+D28</f>
        <v>9532736.3</v>
      </c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7">
        <f t="shared" si="5"/>
        <v>0</v>
      </c>
      <c r="J21" s="67">
        <f t="shared" si="5"/>
        <v>0</v>
      </c>
      <c r="K21" s="67">
        <f t="shared" si="5"/>
        <v>0</v>
      </c>
      <c r="L21" s="67">
        <f t="shared" si="5"/>
        <v>0</v>
      </c>
      <c r="M21" s="67">
        <f t="shared" si="5"/>
        <v>0</v>
      </c>
      <c r="N21" s="68"/>
    </row>
    <row r="22" spans="1:14" s="23" customFormat="1" ht="21" customHeight="1">
      <c r="A22" s="44"/>
      <c r="B22" s="49" t="s">
        <v>39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63"/>
    </row>
    <row r="23" spans="1:14" s="23" customFormat="1" ht="12.75" customHeight="1">
      <c r="A23" s="48"/>
      <c r="B23" s="52" t="s">
        <v>40</v>
      </c>
      <c r="C23" s="53">
        <v>7330117.59</v>
      </c>
      <c r="D23" s="54">
        <f>7648178.41</f>
        <v>7648178.41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63"/>
    </row>
    <row r="24" spans="1:14" s="23" customFormat="1" ht="12.75" customHeight="1">
      <c r="A24" s="48"/>
      <c r="B24" s="52" t="s">
        <v>41</v>
      </c>
      <c r="C24" s="53">
        <v>3112194.39</v>
      </c>
      <c r="D24" s="54">
        <v>450000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63"/>
    </row>
    <row r="25" spans="1:14" s="23" customFormat="1" ht="12.75" customHeight="1">
      <c r="A25" s="48"/>
      <c r="B25" s="52" t="s">
        <v>42</v>
      </c>
      <c r="C25" s="53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63"/>
    </row>
    <row r="26" spans="1:14" s="23" customFormat="1" ht="12.75" customHeight="1">
      <c r="A26" s="48"/>
      <c r="B26" s="52" t="s">
        <v>43</v>
      </c>
      <c r="C26" s="53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63"/>
    </row>
    <row r="27" spans="1:14" s="23" customFormat="1" ht="12.75" customHeight="1">
      <c r="A27" s="48"/>
      <c r="B27" s="52" t="s">
        <v>44</v>
      </c>
      <c r="C27" s="53">
        <v>2219272.18</v>
      </c>
      <c r="D27" s="54">
        <v>1434557.89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63"/>
    </row>
    <row r="28" spans="1:14" s="23" customFormat="1" ht="12.75" customHeight="1" thickBot="1">
      <c r="A28" s="72"/>
      <c r="B28" s="73" t="s">
        <v>45</v>
      </c>
      <c r="C28" s="74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63"/>
    </row>
    <row r="29" spans="1:14" ht="18.75" customHeight="1" thickBot="1">
      <c r="A29" s="76" t="s">
        <v>46</v>
      </c>
      <c r="B29" s="77" t="s">
        <v>47</v>
      </c>
      <c r="C29" s="78">
        <f>C30+C31</f>
        <v>7579286.880000001</v>
      </c>
      <c r="D29" s="79">
        <f aca="true" t="shared" si="6" ref="D29:M29">D30+D31</f>
        <v>6222611</v>
      </c>
      <c r="E29" s="79">
        <f t="shared" si="6"/>
        <v>6665617</v>
      </c>
      <c r="F29" s="79">
        <f t="shared" si="6"/>
        <v>6439580</v>
      </c>
      <c r="G29" s="79">
        <f t="shared" si="6"/>
        <v>6253282</v>
      </c>
      <c r="H29" s="79">
        <f t="shared" si="6"/>
        <v>4186666</v>
      </c>
      <c r="I29" s="79">
        <f t="shared" si="6"/>
        <v>3877283</v>
      </c>
      <c r="J29" s="79">
        <f t="shared" si="6"/>
        <v>3752171</v>
      </c>
      <c r="K29" s="79">
        <f t="shared" si="6"/>
        <v>2944904</v>
      </c>
      <c r="L29" s="79">
        <f t="shared" si="6"/>
        <v>2475408</v>
      </c>
      <c r="M29" s="79">
        <f t="shared" si="6"/>
        <v>1064193</v>
      </c>
      <c r="N29" s="80"/>
    </row>
    <row r="30" spans="1:14" s="23" customFormat="1" ht="24" customHeight="1">
      <c r="A30" s="48"/>
      <c r="B30" s="56" t="s">
        <v>48</v>
      </c>
      <c r="C30" s="46">
        <f>6356512.98+1222773.9</f>
        <v>7579286.880000001</v>
      </c>
      <c r="D30" s="47">
        <f>2240356+1082255</f>
        <v>3322611</v>
      </c>
      <c r="E30" s="47">
        <f>1225261+2440356</f>
        <v>3665617</v>
      </c>
      <c r="F30" s="47">
        <f>1225261+2214319</f>
        <v>3439580</v>
      </c>
      <c r="G30" s="47">
        <f>1225261+2128021</f>
        <v>3353282</v>
      </c>
      <c r="H30" s="47">
        <f>1225261+2961405</f>
        <v>4186666</v>
      </c>
      <c r="I30" s="47">
        <f>1225262+2652021</f>
        <v>3877283</v>
      </c>
      <c r="J30" s="47">
        <f>1100150+2652021</f>
        <v>3752171</v>
      </c>
      <c r="K30" s="47">
        <f>1044210+1900694</f>
        <v>2944904</v>
      </c>
      <c r="L30" s="47">
        <f>625415+1849993</f>
        <v>2475408</v>
      </c>
      <c r="M30" s="47">
        <f>188036+876157</f>
        <v>1064193</v>
      </c>
      <c r="N30" s="68"/>
    </row>
    <row r="31" spans="1:14" s="23" customFormat="1" ht="12.75" customHeight="1" thickBot="1">
      <c r="A31" s="72"/>
      <c r="B31" s="81" t="s">
        <v>49</v>
      </c>
      <c r="C31" s="82">
        <v>0</v>
      </c>
      <c r="D31" s="83">
        <v>2900000</v>
      </c>
      <c r="E31" s="83">
        <v>3000000</v>
      </c>
      <c r="F31" s="83">
        <v>3000000</v>
      </c>
      <c r="G31" s="83">
        <v>2900000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68"/>
    </row>
    <row r="32" spans="1:13" s="88" customFormat="1" ht="17.25" customHeight="1">
      <c r="A32" s="84" t="s">
        <v>50</v>
      </c>
      <c r="B32" s="85" t="s">
        <v>51</v>
      </c>
      <c r="C32" s="86">
        <f>37239267</f>
        <v>37239267</v>
      </c>
      <c r="D32" s="87">
        <f>C32-C34+D22+D23+D24-D30-D31+D34</f>
        <v>38859104.41</v>
      </c>
      <c r="E32" s="87">
        <f aca="true" t="shared" si="7" ref="E32:M32">D32-D34+E22+E23+E24-E30-E31+E34</f>
        <v>30993487.409999996</v>
      </c>
      <c r="F32" s="87">
        <f t="shared" si="7"/>
        <v>24553907.409999996</v>
      </c>
      <c r="G32" s="87">
        <f t="shared" si="7"/>
        <v>18300625.409999996</v>
      </c>
      <c r="H32" s="87">
        <f t="shared" si="7"/>
        <v>14113959.409999996</v>
      </c>
      <c r="I32" s="87">
        <f t="shared" si="7"/>
        <v>10236676.409999996</v>
      </c>
      <c r="J32" s="87">
        <f t="shared" si="7"/>
        <v>6484505.409999996</v>
      </c>
      <c r="K32" s="87">
        <f t="shared" si="7"/>
        <v>3539601.4099999964</v>
      </c>
      <c r="L32" s="87">
        <f t="shared" si="7"/>
        <v>1064193.4099999964</v>
      </c>
      <c r="M32" s="87">
        <f t="shared" si="7"/>
        <v>0.4099999964237213</v>
      </c>
    </row>
    <row r="33" spans="1:13" s="88" customFormat="1" ht="16.5" customHeight="1">
      <c r="A33" s="89" t="s">
        <v>52</v>
      </c>
      <c r="B33" s="85" t="s">
        <v>53</v>
      </c>
      <c r="C33" s="86">
        <v>276104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</row>
    <row r="34" spans="1:13" s="88" customFormat="1" ht="17.25" customHeight="1">
      <c r="A34" s="89" t="s">
        <v>54</v>
      </c>
      <c r="B34" s="90" t="s">
        <v>55</v>
      </c>
      <c r="C34" s="91">
        <v>1455730</v>
      </c>
      <c r="D34" s="92">
        <v>1200000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</row>
    <row r="35" spans="1:13" s="88" customFormat="1" ht="25.5" customHeight="1">
      <c r="A35" s="89" t="s">
        <v>56</v>
      </c>
      <c r="B35" s="90" t="s">
        <v>57</v>
      </c>
      <c r="C35" s="91">
        <v>1431952</v>
      </c>
      <c r="D35" s="92">
        <v>505924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</row>
    <row r="36" spans="1:13" s="88" customFormat="1" ht="25.5" customHeight="1">
      <c r="A36" s="89" t="s">
        <v>58</v>
      </c>
      <c r="B36" s="90" t="s">
        <v>59</v>
      </c>
      <c r="C36" s="93">
        <f>(C15+C16+C17+C30+C31)/C13</f>
        <v>0.10990024006313667</v>
      </c>
      <c r="D36" s="94">
        <f aca="true" t="shared" si="8" ref="D36:M36">(D15+D16+D17+D30+D31)/D13</f>
        <v>0.09919338840142425</v>
      </c>
      <c r="E36" s="94">
        <f t="shared" si="8"/>
        <v>0.1046489563322514</v>
      </c>
      <c r="F36" s="94">
        <f t="shared" si="8"/>
        <v>0.08210630718096874</v>
      </c>
      <c r="G36" s="94">
        <f t="shared" si="8"/>
        <v>0.07493250624166774</v>
      </c>
      <c r="H36" s="94">
        <f t="shared" si="8"/>
        <v>0.05038930243304829</v>
      </c>
      <c r="I36" s="94">
        <f t="shared" si="8"/>
        <v>0.04525191573959772</v>
      </c>
      <c r="J36" s="94">
        <f t="shared" si="8"/>
        <v>0.04167283626644313</v>
      </c>
      <c r="K36" s="94">
        <f t="shared" si="8"/>
        <v>0.03669043400068292</v>
      </c>
      <c r="L36" s="94">
        <f t="shared" si="8"/>
        <v>0.02894044964826274</v>
      </c>
      <c r="M36" s="94">
        <f t="shared" si="8"/>
        <v>0.012233171792918707</v>
      </c>
    </row>
    <row r="37" spans="1:13" s="88" customFormat="1" ht="25.5" customHeight="1">
      <c r="A37" s="89" t="s">
        <v>60</v>
      </c>
      <c r="B37" s="90" t="s">
        <v>61</v>
      </c>
      <c r="C37" s="93">
        <f>(C15+C16+C17+C30+C31-C35)/C13</f>
        <v>0.09245721847539888</v>
      </c>
      <c r="D37" s="94">
        <f aca="true" t="shared" si="9" ref="D37:M37">(D15+D16+D17+D30+D31-D35)/D13</f>
        <v>0.09301504059754663</v>
      </c>
      <c r="E37" s="94">
        <f t="shared" si="9"/>
        <v>0.1046489563322514</v>
      </c>
      <c r="F37" s="94">
        <f t="shared" si="9"/>
        <v>0.08210630718096874</v>
      </c>
      <c r="G37" s="94">
        <f t="shared" si="9"/>
        <v>0.07493250624166774</v>
      </c>
      <c r="H37" s="94">
        <f t="shared" si="9"/>
        <v>0.05038930243304829</v>
      </c>
      <c r="I37" s="94">
        <f t="shared" si="9"/>
        <v>0.04525191573959772</v>
      </c>
      <c r="J37" s="94">
        <f t="shared" si="9"/>
        <v>0.04167283626644313</v>
      </c>
      <c r="K37" s="94">
        <f t="shared" si="9"/>
        <v>0.03669043400068292</v>
      </c>
      <c r="L37" s="94">
        <f t="shared" si="9"/>
        <v>0.02894044964826274</v>
      </c>
      <c r="M37" s="94">
        <f t="shared" si="9"/>
        <v>0.012233171792918707</v>
      </c>
    </row>
    <row r="38" spans="1:13" s="88" customFormat="1" ht="25.5" customHeight="1">
      <c r="A38" s="89" t="s">
        <v>62</v>
      </c>
      <c r="B38" s="90" t="s">
        <v>63</v>
      </c>
      <c r="C38" s="91">
        <v>1797125</v>
      </c>
      <c r="D38" s="92">
        <v>842637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</row>
    <row r="39" spans="1:13" s="88" customFormat="1" ht="25.5" customHeight="1">
      <c r="A39" s="89" t="s">
        <v>64</v>
      </c>
      <c r="B39" s="90" t="s">
        <v>65</v>
      </c>
      <c r="C39" s="93">
        <f>C32/C13</f>
        <v>0.45362228495964374</v>
      </c>
      <c r="D39" s="94">
        <f aca="true" t="shared" si="10" ref="D39:M39">D32/D13</f>
        <v>0.47454768382637397</v>
      </c>
      <c r="E39" s="94">
        <f t="shared" si="10"/>
        <v>0.3808809285989815</v>
      </c>
      <c r="F39" s="94">
        <f t="shared" si="10"/>
        <v>0.25716054486318457</v>
      </c>
      <c r="G39" s="94">
        <f t="shared" si="10"/>
        <v>0.18398763494541706</v>
      </c>
      <c r="H39" s="94">
        <f t="shared" si="10"/>
        <v>0.14120304368768102</v>
      </c>
      <c r="I39" s="94">
        <f t="shared" si="10"/>
        <v>0.10120178681520184</v>
      </c>
      <c r="J39" s="94">
        <f t="shared" si="10"/>
        <v>0.06430669580552399</v>
      </c>
      <c r="K39" s="94">
        <f t="shared" si="10"/>
        <v>0.03941526427547785</v>
      </c>
      <c r="L39" s="94">
        <f t="shared" si="10"/>
        <v>0.011511603388387087</v>
      </c>
      <c r="M39" s="94">
        <f t="shared" si="10"/>
        <v>4.308220708548702E-09</v>
      </c>
    </row>
    <row r="40" spans="1:13" s="88" customFormat="1" ht="25.5" customHeight="1">
      <c r="A40" s="89" t="s">
        <v>66</v>
      </c>
      <c r="B40" s="90" t="s">
        <v>67</v>
      </c>
      <c r="C40" s="93">
        <f>(C32-C38)/C13</f>
        <v>0.4317309854112907</v>
      </c>
      <c r="D40" s="94">
        <f aca="true" t="shared" si="11" ref="D40:M40">(D32-D38)/D13</f>
        <v>0.46425739426032053</v>
      </c>
      <c r="E40" s="94">
        <f t="shared" si="11"/>
        <v>0.3808809285989815</v>
      </c>
      <c r="F40" s="94">
        <f t="shared" si="11"/>
        <v>0.25716054486318457</v>
      </c>
      <c r="G40" s="94">
        <f t="shared" si="11"/>
        <v>0.18398763494541706</v>
      </c>
      <c r="H40" s="94">
        <f t="shared" si="11"/>
        <v>0.14120304368768102</v>
      </c>
      <c r="I40" s="94">
        <f t="shared" si="11"/>
        <v>0.10120178681520184</v>
      </c>
      <c r="J40" s="94">
        <f t="shared" si="11"/>
        <v>0.06430669580552399</v>
      </c>
      <c r="K40" s="94">
        <f t="shared" si="11"/>
        <v>0.03941526427547785</v>
      </c>
      <c r="L40" s="94">
        <f t="shared" si="11"/>
        <v>0.011511603388387087</v>
      </c>
      <c r="M40" s="94">
        <f t="shared" si="11"/>
        <v>4.308220708548702E-09</v>
      </c>
    </row>
    <row r="41" spans="2:13" ht="15.75" customHeight="1" hidden="1">
      <c r="B41" s="96"/>
      <c r="C41" s="97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ht="12.75" hidden="1"/>
    <row r="43" ht="12.75" hidden="1"/>
    <row r="44" spans="3:13" ht="12.75" hidden="1">
      <c r="C44" s="99">
        <f>C13-C19+C21-C29</f>
        <v>2646395.3299999963</v>
      </c>
      <c r="D44" s="100">
        <f aca="true" t="shared" si="12" ref="D44:M44">D13-D19+D21-D29</f>
        <v>0</v>
      </c>
      <c r="E44" s="100">
        <f t="shared" si="12"/>
        <v>0</v>
      </c>
      <c r="F44" s="100">
        <f t="shared" si="12"/>
        <v>0</v>
      </c>
      <c r="G44" s="100">
        <f t="shared" si="12"/>
        <v>0</v>
      </c>
      <c r="H44" s="100">
        <f t="shared" si="12"/>
        <v>0</v>
      </c>
      <c r="I44" s="100">
        <f t="shared" si="12"/>
        <v>0</v>
      </c>
      <c r="J44" s="100">
        <f t="shared" si="12"/>
        <v>0</v>
      </c>
      <c r="K44" s="100">
        <f t="shared" si="12"/>
        <v>0</v>
      </c>
      <c r="L44" s="100">
        <f t="shared" si="12"/>
        <v>0</v>
      </c>
      <c r="M44" s="100">
        <f t="shared" si="12"/>
        <v>0</v>
      </c>
    </row>
    <row r="45" spans="5:13" ht="12.75" hidden="1">
      <c r="E45" s="100"/>
      <c r="F45" s="100"/>
      <c r="G45" s="100"/>
      <c r="H45" s="100"/>
      <c r="I45" s="100"/>
      <c r="J45" s="100"/>
      <c r="K45" s="100"/>
      <c r="L45" s="100"/>
      <c r="M45" s="100"/>
    </row>
    <row r="46" ht="12.75" hidden="1"/>
    <row r="47" ht="12.75" hidden="1"/>
    <row r="50" spans="4:13" ht="12.75">
      <c r="D50" s="99"/>
      <c r="E50" s="99"/>
      <c r="F50" s="99"/>
      <c r="G50" s="99"/>
      <c r="H50" s="99"/>
      <c r="I50" s="99"/>
      <c r="J50" s="99"/>
      <c r="K50" s="99"/>
      <c r="L50" s="99"/>
      <c r="M50" s="99"/>
    </row>
  </sheetData>
  <mergeCells count="6">
    <mergeCell ref="A1:M1"/>
    <mergeCell ref="A2:A3"/>
    <mergeCell ref="B2:B3"/>
    <mergeCell ref="C2:C3"/>
    <mergeCell ref="D2:D3"/>
    <mergeCell ref="E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Czerwionka Leszczyny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i Miasta</dc:creator>
  <cp:keywords/>
  <dc:description/>
  <cp:lastModifiedBy>Urząd Gminy i Miasta</cp:lastModifiedBy>
  <dcterms:created xsi:type="dcterms:W3CDTF">2008-05-05T08:02:34Z</dcterms:created>
  <dcterms:modified xsi:type="dcterms:W3CDTF">2008-05-05T08:03:35Z</dcterms:modified>
  <cp:category/>
  <cp:version/>
  <cp:contentType/>
  <cp:contentStatus/>
</cp:coreProperties>
</file>